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phane\Desktop\Energie Cluster\"/>
    </mc:Choice>
  </mc:AlternateContent>
  <xr:revisionPtr revIDLastSave="0" documentId="13_ncr:1_{654BE1EB-9800-4484-A7AE-9F273803C828}" xr6:coauthVersionLast="47" xr6:coauthVersionMax="47" xr10:uidLastSave="{00000000-0000-0000-0000-000000000000}"/>
  <bookViews>
    <workbookView xWindow="28680" yWindow="-120" windowWidth="29040" windowHeight="16440" activeTab="1" xr2:uid="{6C3A9147-2428-4BEE-91AF-739AF816DC80}"/>
  </bookViews>
  <sheets>
    <sheet name="tarif excédent solaire 2026" sheetId="2" r:id="rId1"/>
    <sheet name="Rétribution Unique Pronov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3" l="1"/>
  <c r="D20" i="3"/>
  <c r="F12" i="3"/>
  <c r="D12" i="3"/>
  <c r="F11" i="3"/>
  <c r="D11" i="3"/>
  <c r="D19" i="3" s="1"/>
  <c r="D21" i="3" s="1"/>
  <c r="F10" i="3"/>
  <c r="D10" i="3"/>
  <c r="F19" i="3" l="1"/>
  <c r="F21" i="3" s="1"/>
  <c r="K21" i="2"/>
  <c r="K20" i="2"/>
  <c r="K22" i="2"/>
  <c r="J22" i="2"/>
  <c r="J21" i="2"/>
  <c r="J20" i="2"/>
  <c r="J19" i="2"/>
  <c r="J18" i="2"/>
  <c r="P28" i="2"/>
  <c r="P27" i="2"/>
  <c r="P29" i="2"/>
  <c r="O29" i="2"/>
  <c r="O28" i="2"/>
  <c r="O27" i="2"/>
  <c r="O26" i="2"/>
  <c r="O25" i="2"/>
  <c r="P20" i="2"/>
  <c r="P21" i="2"/>
  <c r="P22" i="2"/>
  <c r="O22" i="2"/>
  <c r="O21" i="2"/>
  <c r="O20" i="2"/>
  <c r="O19" i="2"/>
  <c r="O18" i="2"/>
  <c r="K29" i="2"/>
  <c r="K28" i="2"/>
  <c r="K27" i="2"/>
  <c r="J29" i="2"/>
  <c r="J28" i="2"/>
  <c r="J27" i="2"/>
  <c r="J26" i="2"/>
  <c r="J25" i="2"/>
  <c r="B28" i="2"/>
  <c r="C28" i="2" s="1"/>
  <c r="C27" i="2"/>
  <c r="D10" i="2"/>
  <c r="E10" i="2" s="1"/>
  <c r="F10" i="2" s="1"/>
  <c r="D11" i="2"/>
  <c r="E11" i="2" s="1"/>
  <c r="F11" i="2" s="1"/>
  <c r="D12" i="2"/>
  <c r="E12" i="2" s="1"/>
  <c r="F12" i="2" s="1"/>
  <c r="D9" i="2"/>
  <c r="E9" i="2" s="1"/>
  <c r="F9" i="2" l="1"/>
  <c r="D13" i="2"/>
  <c r="C13" i="2" s="1"/>
  <c r="E13" i="2"/>
  <c r="G11" i="2"/>
  <c r="G10" i="2"/>
  <c r="G12" i="2"/>
  <c r="P23" i="2"/>
  <c r="K23" i="2"/>
  <c r="G9" i="2"/>
  <c r="P30" i="2"/>
  <c r="K30" i="2"/>
  <c r="O23" i="2"/>
  <c r="J30" i="2"/>
  <c r="J23" i="2"/>
  <c r="O30" i="2"/>
  <c r="M30" i="2" s="1"/>
  <c r="I12" i="2" s="1"/>
  <c r="M23" i="2" l="1"/>
  <c r="I11" i="2" s="1"/>
  <c r="B13" i="2"/>
  <c r="H30" i="2"/>
  <c r="I10" i="2" s="1"/>
  <c r="G13" i="2"/>
  <c r="H23" i="2"/>
  <c r="I9" i="2" s="1"/>
  <c r="F13" i="2" l="1"/>
  <c r="I13" i="2"/>
  <c r="G14" i="2" s="1"/>
</calcChain>
</file>

<file path=xl/sharedStrings.xml><?xml version="1.0" encoding="utf-8"?>
<sst xmlns="http://schemas.openxmlformats.org/spreadsheetml/2006/main" count="60" uniqueCount="50">
  <si>
    <t>avec autoconsommation</t>
  </si>
  <si>
    <t>sans autoconsommation</t>
  </si>
  <si>
    <t>puissance</t>
  </si>
  <si>
    <t>Puissance de l'installation</t>
  </si>
  <si>
    <t>autoconsommation</t>
  </si>
  <si>
    <t>oui</t>
  </si>
  <si>
    <t>Q1</t>
  </si>
  <si>
    <t xml:space="preserve">Q2 </t>
  </si>
  <si>
    <t>Q3</t>
  </si>
  <si>
    <t>Q4</t>
  </si>
  <si>
    <t>Production</t>
  </si>
  <si>
    <t>revenus</t>
  </si>
  <si>
    <t>économies</t>
  </si>
  <si>
    <t>select.</t>
  </si>
  <si>
    <t>Q2</t>
  </si>
  <si>
    <t>Productible</t>
  </si>
  <si>
    <t>moyenne spot</t>
  </si>
  <si>
    <t>avec autoconso</t>
  </si>
  <si>
    <t>sans autoconso</t>
  </si>
  <si>
    <t>Si aucun accord n'est trouvé, le prix de vente est proportionné au prix du marché spot, avec un minimum fixé par la confédération.</t>
  </si>
  <si>
    <t>minimum de la confédération</t>
  </si>
  <si>
    <t>Calcul proportionnel au marché spot</t>
  </si>
  <si>
    <t>kWh consommés</t>
  </si>
  <si>
    <t>kWh vendus</t>
  </si>
  <si>
    <t>Le producteur et le gestionnaire de réseau doivent se mettre d'accord sur la tarification de l'énergie solaire excédentaire.</t>
  </si>
  <si>
    <t>Autoconsommation</t>
  </si>
  <si>
    <t>Électricité achetée au réseau (TTC)</t>
  </si>
  <si>
    <t>Autre variante: Le producteur peut vendre son électricité solaire dans le cadre d'un RCP. Dans ce cas, le tarif est plafonné à 80% du prix de l'électricité qui aurait dû être achetée au réseau.</t>
  </si>
  <si>
    <r>
      <t>1</t>
    </r>
    <r>
      <rPr>
        <vertAlign val="superscript"/>
        <sz val="11"/>
        <color theme="1"/>
        <rFont val="Aptos Narrow"/>
        <family val="2"/>
        <scheme val="minor"/>
      </rPr>
      <t>er</t>
    </r>
    <r>
      <rPr>
        <sz val="11"/>
        <color theme="1"/>
        <rFont val="Aptos Narrow"/>
        <family val="2"/>
        <scheme val="minor"/>
      </rPr>
      <t xml:space="preserve"> trimestre (Q1)</t>
    </r>
  </si>
  <si>
    <r>
      <t>2</t>
    </r>
    <r>
      <rPr>
        <vertAlign val="superscript"/>
        <sz val="11"/>
        <color theme="1"/>
        <rFont val="Aptos Narrow"/>
        <family val="2"/>
        <scheme val="minor"/>
      </rPr>
      <t>e</t>
    </r>
    <r>
      <rPr>
        <sz val="11"/>
        <color theme="1"/>
        <rFont val="Aptos Narrow"/>
        <family val="2"/>
        <scheme val="minor"/>
      </rPr>
      <t xml:space="preserve"> trimestre (Q2)</t>
    </r>
  </si>
  <si>
    <r>
      <t>3</t>
    </r>
    <r>
      <rPr>
        <vertAlign val="superscript"/>
        <sz val="11"/>
        <color theme="1"/>
        <rFont val="Aptos Narrow"/>
        <family val="2"/>
        <scheme val="minor"/>
      </rPr>
      <t>e</t>
    </r>
    <r>
      <rPr>
        <sz val="11"/>
        <color theme="1"/>
        <rFont val="Aptos Narrow"/>
        <family val="2"/>
        <scheme val="minor"/>
      </rPr>
      <t xml:space="preserve"> trimestre (Q3)</t>
    </r>
  </si>
  <si>
    <r>
      <t>4</t>
    </r>
    <r>
      <rPr>
        <vertAlign val="superscript"/>
        <sz val="11"/>
        <color theme="1"/>
        <rFont val="Aptos Narrow"/>
        <family val="2"/>
        <scheme val="minor"/>
      </rPr>
      <t>e</t>
    </r>
    <r>
      <rPr>
        <sz val="11"/>
        <color theme="1"/>
        <rFont val="Aptos Narrow"/>
        <family val="2"/>
        <scheme val="minor"/>
      </rPr>
      <t xml:space="preserve"> trimestre (Q4)</t>
    </r>
  </si>
  <si>
    <t>Garanties d'origine</t>
  </si>
  <si>
    <t>Ordonnance sur l’encouragement de la production d’électricité issue d’énergies renouvelables</t>
  </si>
  <si>
    <r>
      <rPr>
        <b/>
        <sz val="11"/>
        <color theme="1"/>
        <rFont val="Aptos Narrow"/>
        <family val="2"/>
        <scheme val="minor"/>
      </rPr>
      <t>(OEneR)</t>
    </r>
    <r>
      <rPr>
        <sz val="11"/>
        <color theme="1"/>
        <rFont val="Aptos Narrow"/>
        <family val="2"/>
        <scheme val="minor"/>
      </rPr>
      <t xml:space="preserve"> Modifié le 20 novembre 2024 (RO 2024 708; RS 730.03)</t>
    </r>
  </si>
  <si>
    <t>Annexe 2.1, ch. 2.7</t>
  </si>
  <si>
    <t>CHF/kW</t>
  </si>
  <si>
    <t>Classe de puissance</t>
  </si>
  <si>
    <t>intégré</t>
  </si>
  <si>
    <t>ajouté</t>
  </si>
  <si>
    <t>&lt;30  kW</t>
  </si>
  <si>
    <t>30 - 100 kW</t>
  </si>
  <si>
    <t>≥100 kW</t>
  </si>
  <si>
    <t>bonus d'angle (≥75°)</t>
  </si>
  <si>
    <t>Estimation pour un projet en façade</t>
  </si>
  <si>
    <t>Puissance AC (kW)</t>
  </si>
  <si>
    <t>CHF</t>
  </si>
  <si>
    <t>Contribution liée à la puissance</t>
  </si>
  <si>
    <t>Bonus d'angle</t>
  </si>
  <si>
    <t>Montant total de la subvention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</si>
</sst>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0&quot; chf/kWh&quot;"/>
    <numFmt numFmtId="165" formatCode="0.000"/>
    <numFmt numFmtId="166" formatCode="0.00&quot; kWc&quot;"/>
    <numFmt numFmtId="167" formatCode="0&quot; kWh/kWc&quot;"/>
    <numFmt numFmtId="168" formatCode="#,##0&quot; kWh&quot;"/>
    <numFmt numFmtId="169" formatCode="#,##0&quot;.-&quot;"/>
    <numFmt numFmtId="170" formatCode="#,##0.000&quot;.-&quot;"/>
    <numFmt numFmtId="171" formatCode="0&quot; kWh&quot;"/>
    <numFmt numFmtId="172" formatCode="0.0000"/>
    <numFmt numFmtId="173" formatCode="_-* #,##0_-;\-* #,##0_-;_-* &quot;-&quot;??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rgb="FF00B0F0"/>
      <name val="Aptos Narrow"/>
      <family val="2"/>
      <scheme val="minor"/>
    </font>
    <font>
      <sz val="10"/>
      <color rgb="FF00B0F0"/>
      <name val="Aptos Narrow"/>
      <family val="2"/>
      <scheme val="minor"/>
    </font>
    <font>
      <sz val="11"/>
      <color rgb="FF00B0F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i/>
      <sz val="11"/>
      <color theme="0" tint="-0.499984740745262"/>
      <name val="Aptos Narrow"/>
      <family val="2"/>
      <scheme val="minor"/>
    </font>
    <font>
      <b/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 tint="0.249977111117893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CE92"/>
        <bgColor indexed="64"/>
      </patternFill>
    </fill>
    <fill>
      <patternFill patternType="solid">
        <fgColor rgb="FFC7E3D4"/>
        <bgColor indexed="64"/>
      </patternFill>
    </fill>
    <fill>
      <patternFill patternType="solid">
        <fgColor rgb="FFFCDDD0"/>
        <bgColor indexed="64"/>
      </patternFill>
    </fill>
    <fill>
      <patternFill patternType="solid">
        <fgColor rgb="FFF48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1C19F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1" applyNumberFormat="1" applyFont="1"/>
    <xf numFmtId="4" fontId="0" fillId="0" borderId="0" xfId="1" applyNumberFormat="1" applyFont="1"/>
    <xf numFmtId="0" fontId="0" fillId="0" borderId="0" xfId="0" applyAlignment="1">
      <alignment horizontal="center" wrapText="1"/>
    </xf>
    <xf numFmtId="9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2" fontId="4" fillId="0" borderId="0" xfId="1" applyNumberFormat="1" applyFont="1"/>
    <xf numFmtId="0" fontId="4" fillId="0" borderId="0" xfId="0" applyFont="1" applyAlignment="1">
      <alignment horizontal="center"/>
    </xf>
    <xf numFmtId="4" fontId="4" fillId="0" borderId="0" xfId="1" applyNumberFormat="1" applyFont="1"/>
    <xf numFmtId="2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12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vertical="top"/>
    </xf>
    <xf numFmtId="166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Protection="1">
      <protection locked="0"/>
    </xf>
    <xf numFmtId="167" fontId="2" fillId="2" borderId="7" xfId="0" applyNumberFormat="1" applyFont="1" applyFill="1" applyBorder="1" applyAlignment="1" applyProtection="1">
      <alignment horizontal="center"/>
      <protection locked="0"/>
    </xf>
    <xf numFmtId="167" fontId="2" fillId="2" borderId="12" xfId="0" applyNumberFormat="1" applyFont="1" applyFill="1" applyBorder="1" applyAlignment="1" applyProtection="1">
      <alignment horizontal="center"/>
      <protection locked="0"/>
    </xf>
    <xf numFmtId="170" fontId="2" fillId="2" borderId="1" xfId="0" applyNumberFormat="1" applyFont="1" applyFill="1" applyBorder="1" applyProtection="1">
      <protection locked="0"/>
    </xf>
    <xf numFmtId="0" fontId="6" fillId="3" borderId="1" xfId="0" applyFont="1" applyFill="1" applyBorder="1" applyAlignment="1">
      <alignment horizontal="center" vertical="center" wrapText="1"/>
    </xf>
    <xf numFmtId="2" fontId="6" fillId="3" borderId="3" xfId="1" applyNumberFormat="1" applyFont="1" applyFill="1" applyBorder="1"/>
    <xf numFmtId="0" fontId="6" fillId="3" borderId="3" xfId="0" applyFont="1" applyFill="1" applyBorder="1"/>
    <xf numFmtId="0" fontId="6" fillId="3" borderId="4" xfId="0" applyFont="1" applyFill="1" applyBorder="1"/>
    <xf numFmtId="4" fontId="6" fillId="3" borderId="0" xfId="1" applyNumberFormat="1" applyFont="1" applyFill="1" applyBorder="1"/>
    <xf numFmtId="0" fontId="6" fillId="3" borderId="6" xfId="0" applyFont="1" applyFill="1" applyBorder="1"/>
    <xf numFmtId="0" fontId="6" fillId="3" borderId="5" xfId="0" applyFont="1" applyFill="1" applyBorder="1" applyAlignment="1">
      <alignment horizontal="center" vertical="center" wrapText="1"/>
    </xf>
    <xf numFmtId="4" fontId="6" fillId="3" borderId="8" xfId="1" applyNumberFormat="1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9" fontId="2" fillId="2" borderId="14" xfId="0" applyNumberFormat="1" applyFont="1" applyFill="1" applyBorder="1" applyAlignment="1" applyProtection="1">
      <alignment horizontal="center"/>
      <protection locked="0"/>
    </xf>
    <xf numFmtId="9" fontId="2" fillId="2" borderId="1" xfId="0" applyNumberFormat="1" applyFont="1" applyFill="1" applyBorder="1" applyAlignment="1" applyProtection="1">
      <alignment horizontal="center"/>
      <protection locked="0"/>
    </xf>
    <xf numFmtId="9" fontId="6" fillId="3" borderId="1" xfId="2" applyFont="1" applyFill="1" applyBorder="1" applyAlignment="1">
      <alignment horizontal="center"/>
    </xf>
    <xf numFmtId="168" fontId="6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/>
    <xf numFmtId="0" fontId="6" fillId="3" borderId="0" xfId="0" applyFont="1" applyFill="1"/>
    <xf numFmtId="165" fontId="6" fillId="3" borderId="0" xfId="0" applyNumberFormat="1" applyFont="1" applyFill="1"/>
    <xf numFmtId="0" fontId="6" fillId="3" borderId="5" xfId="0" applyFont="1" applyFill="1" applyBorder="1"/>
    <xf numFmtId="0" fontId="6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 vertical="center" wrapText="1"/>
    </xf>
    <xf numFmtId="0" fontId="6" fillId="3" borderId="7" xfId="0" applyFont="1" applyFill="1" applyBorder="1"/>
    <xf numFmtId="0" fontId="6" fillId="3" borderId="8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167" fontId="6" fillId="3" borderId="12" xfId="0" applyNumberFormat="1" applyFont="1" applyFill="1" applyBorder="1" applyAlignment="1">
      <alignment horizontal="center"/>
    </xf>
    <xf numFmtId="169" fontId="0" fillId="9" borderId="13" xfId="0" applyNumberFormat="1" applyFill="1" applyBorder="1" applyAlignment="1">
      <alignment horizontal="center"/>
    </xf>
    <xf numFmtId="169" fontId="0" fillId="9" borderId="14" xfId="0" applyNumberFormat="1" applyFill="1" applyBorder="1" applyAlignment="1">
      <alignment horizontal="center"/>
    </xf>
    <xf numFmtId="169" fontId="6" fillId="3" borderId="1" xfId="1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 wrapText="1"/>
    </xf>
    <xf numFmtId="166" fontId="4" fillId="10" borderId="1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2" fontId="4" fillId="10" borderId="1" xfId="0" applyNumberFormat="1" applyFont="1" applyFill="1" applyBorder="1" applyAlignment="1">
      <alignment horizontal="center"/>
    </xf>
    <xf numFmtId="165" fontId="4" fillId="10" borderId="1" xfId="0" applyNumberFormat="1" applyFont="1" applyFill="1" applyBorder="1" applyAlignment="1">
      <alignment horizontal="center"/>
    </xf>
    <xf numFmtId="171" fontId="0" fillId="4" borderId="13" xfId="0" applyNumberFormat="1" applyFill="1" applyBorder="1" applyAlignment="1">
      <alignment horizontal="center"/>
    </xf>
    <xf numFmtId="171" fontId="8" fillId="6" borderId="5" xfId="0" applyNumberFormat="1" applyFont="1" applyFill="1" applyBorder="1" applyAlignment="1">
      <alignment horizontal="center"/>
    </xf>
    <xf numFmtId="171" fontId="8" fillId="7" borderId="15" xfId="0" applyNumberFormat="1" applyFont="1" applyFill="1" applyBorder="1" applyAlignment="1">
      <alignment horizontal="center"/>
    </xf>
    <xf numFmtId="171" fontId="8" fillId="7" borderId="13" xfId="0" applyNumberFormat="1" applyFont="1" applyFill="1" applyBorder="1" applyAlignment="1">
      <alignment horizontal="center"/>
    </xf>
    <xf numFmtId="171" fontId="0" fillId="4" borderId="14" xfId="0" applyNumberFormat="1" applyFill="1" applyBorder="1" applyAlignment="1">
      <alignment horizontal="center"/>
    </xf>
    <xf numFmtId="171" fontId="8" fillId="7" borderId="14" xfId="0" applyNumberFormat="1" applyFont="1" applyFill="1" applyBorder="1" applyAlignment="1">
      <alignment horizontal="center"/>
    </xf>
    <xf numFmtId="0" fontId="9" fillId="11" borderId="0" xfId="0" applyFont="1" applyFill="1" applyAlignment="1">
      <alignment vertical="top"/>
    </xf>
    <xf numFmtId="0" fontId="9" fillId="12" borderId="0" xfId="0" applyFont="1" applyFill="1" applyAlignment="1">
      <alignment vertical="top"/>
    </xf>
    <xf numFmtId="2" fontId="11" fillId="12" borderId="0" xfId="1" applyNumberFormat="1" applyFont="1" applyFill="1"/>
    <xf numFmtId="0" fontId="11" fillId="12" borderId="0" xfId="0" applyFont="1" applyFill="1" applyAlignment="1">
      <alignment horizontal="center"/>
    </xf>
    <xf numFmtId="0" fontId="11" fillId="12" borderId="0" xfId="0" applyFont="1" applyFill="1" applyAlignment="1">
      <alignment horizontal="center" vertical="center" wrapText="1"/>
    </xf>
    <xf numFmtId="0" fontId="11" fillId="12" borderId="0" xfId="0" applyFont="1" applyFill="1"/>
    <xf numFmtId="0" fontId="12" fillId="0" borderId="0" xfId="0" applyFont="1" applyAlignment="1">
      <alignment horizontal="center" vertical="top"/>
    </xf>
    <xf numFmtId="0" fontId="13" fillId="3" borderId="1" xfId="0" applyFont="1" applyFill="1" applyBorder="1" applyAlignment="1">
      <alignment horizontal="center"/>
    </xf>
    <xf numFmtId="165" fontId="13" fillId="3" borderId="6" xfId="0" applyNumberFormat="1" applyFont="1" applyFill="1" applyBorder="1" applyAlignment="1">
      <alignment horizontal="center"/>
    </xf>
    <xf numFmtId="165" fontId="13" fillId="3" borderId="9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71" fontId="8" fillId="6" borderId="7" xfId="0" applyNumberFormat="1" applyFont="1" applyFill="1" applyBorder="1" applyAlignment="1">
      <alignment horizontal="center"/>
    </xf>
    <xf numFmtId="172" fontId="13" fillId="3" borderId="6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9" fontId="6" fillId="3" borderId="12" xfId="1" applyNumberFormat="1" applyFont="1" applyFill="1" applyBorder="1" applyAlignment="1">
      <alignment horizontal="center"/>
    </xf>
    <xf numFmtId="169" fontId="6" fillId="3" borderId="11" xfId="1" applyNumberFormat="1" applyFont="1" applyFill="1" applyBorder="1" applyAlignment="1">
      <alignment horizontal="center"/>
    </xf>
    <xf numFmtId="169" fontId="0" fillId="5" borderId="7" xfId="0" applyNumberFormat="1" applyFill="1" applyBorder="1" applyAlignment="1">
      <alignment horizontal="center"/>
    </xf>
    <xf numFmtId="169" fontId="0" fillId="5" borderId="9" xfId="0" applyNumberFormat="1" applyFill="1" applyBorder="1" applyAlignment="1">
      <alignment horizontal="center"/>
    </xf>
    <xf numFmtId="169" fontId="14" fillId="8" borderId="12" xfId="1" applyNumberFormat="1" applyFont="1" applyFill="1" applyBorder="1" applyAlignment="1">
      <alignment horizontal="center"/>
    </xf>
    <xf numFmtId="169" fontId="14" fillId="8" borderId="16" xfId="1" applyNumberFormat="1" applyFont="1" applyFill="1" applyBorder="1" applyAlignment="1">
      <alignment horizontal="center"/>
    </xf>
    <xf numFmtId="169" fontId="14" fillId="8" borderId="11" xfId="1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169" fontId="0" fillId="5" borderId="2" xfId="0" applyNumberFormat="1" applyFill="1" applyBorder="1" applyAlignment="1">
      <alignment horizontal="center"/>
    </xf>
    <xf numFmtId="169" fontId="0" fillId="5" borderId="4" xfId="0" applyNumberFormat="1" applyFill="1" applyBorder="1" applyAlignment="1">
      <alignment horizontal="center"/>
    </xf>
    <xf numFmtId="169" fontId="0" fillId="5" borderId="5" xfId="0" applyNumberFormat="1" applyFill="1" applyBorder="1" applyAlignment="1">
      <alignment horizontal="center"/>
    </xf>
    <xf numFmtId="169" fontId="0" fillId="5" borderId="6" xfId="0" applyNumberFormat="1" applyFill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/>
    <xf numFmtId="0" fontId="15" fillId="0" borderId="0" xfId="3" applyBorder="1" applyAlignment="1">
      <alignment vertical="center"/>
    </xf>
    <xf numFmtId="0" fontId="0" fillId="0" borderId="6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15" xfId="0" applyBorder="1"/>
    <xf numFmtId="173" fontId="0" fillId="0" borderId="1" xfId="1" applyNumberFormat="1" applyFont="1" applyBorder="1"/>
    <xf numFmtId="173" fontId="0" fillId="0" borderId="0" xfId="1" applyNumberFormat="1" applyFont="1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3" borderId="2" xfId="0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5" xfId="0" applyFill="1" applyBorder="1"/>
    <xf numFmtId="0" fontId="0" fillId="3" borderId="0" xfId="0" applyFill="1"/>
    <xf numFmtId="0" fontId="0" fillId="2" borderId="1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3" borderId="0" xfId="0" applyFill="1" applyAlignment="1">
      <alignment horizontal="center"/>
    </xf>
    <xf numFmtId="0" fontId="17" fillId="3" borderId="15" xfId="0" applyFont="1" applyFill="1" applyBorder="1" applyAlignment="1">
      <alignment horizontal="left"/>
    </xf>
    <xf numFmtId="173" fontId="17" fillId="3" borderId="15" xfId="1" applyNumberFormat="1" applyFont="1" applyFill="1" applyBorder="1"/>
    <xf numFmtId="173" fontId="17" fillId="3" borderId="0" xfId="1" applyNumberFormat="1" applyFont="1" applyFill="1" applyBorder="1"/>
    <xf numFmtId="0" fontId="17" fillId="3" borderId="13" xfId="0" applyFont="1" applyFill="1" applyBorder="1" applyAlignment="1">
      <alignment horizontal="left"/>
    </xf>
    <xf numFmtId="173" fontId="17" fillId="3" borderId="13" xfId="1" applyNumberFormat="1" applyFont="1" applyFill="1" applyBorder="1"/>
    <xf numFmtId="0" fontId="2" fillId="3" borderId="14" xfId="0" applyFont="1" applyFill="1" applyBorder="1"/>
    <xf numFmtId="173" fontId="2" fillId="3" borderId="1" xfId="1" applyNumberFormat="1" applyFont="1" applyFill="1" applyBorder="1"/>
    <xf numFmtId="173" fontId="2" fillId="3" borderId="0" xfId="1" applyNumberFormat="1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1C7FAC"/>
      <color rgb="FF81C19F"/>
      <color rgb="FFF48F66"/>
      <color rgb="FFFCDDD0"/>
      <color rgb="FFFACBB8"/>
      <color rgb="FFC7E3D4"/>
      <color rgb="FFA0D0B7"/>
      <color rgb="FFF6CE92"/>
      <color rgb="FFBAE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Valorisation de l'énergie</a:t>
            </a:r>
          </a:p>
        </c:rich>
      </c:tx>
      <c:layout>
        <c:manualLayout>
          <c:xMode val="edge"/>
          <c:yMode val="edge"/>
          <c:x val="0.26298286194872678"/>
          <c:y val="7.845991304612203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'tarif excédent solaire 2026'!$A$16:$A$19</c:f>
              <c:strCache>
                <c:ptCount val="4"/>
                <c:pt idx="0">
                  <c:v>Q1</c:v>
                </c:pt>
                <c:pt idx="1">
                  <c:v>Q2 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'tarif excédent solaire 2026'!$G$9:$G$12</c:f>
              <c:numCache>
                <c:formatCode>#\ ##0".-"</c:formatCode>
                <c:ptCount val="4"/>
                <c:pt idx="0">
                  <c:v>985.82831999999985</c:v>
                </c:pt>
                <c:pt idx="1">
                  <c:v>564.721408</c:v>
                </c:pt>
                <c:pt idx="2">
                  <c:v>1182.993984</c:v>
                </c:pt>
                <c:pt idx="3">
                  <c:v>975.48320799999988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0-4B6F-9BE0-C525584A47F7}"/>
            </c:ext>
          </c:extLst>
        </c:ser>
        <c:ser>
          <c:idx val="1"/>
          <c:order val="1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'tarif excédent solaire 2026'!$A$16:$A$19</c:f>
              <c:strCache>
                <c:ptCount val="4"/>
                <c:pt idx="0">
                  <c:v>Q1</c:v>
                </c:pt>
                <c:pt idx="1">
                  <c:v>Q2 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'tarif excédent solaire 2026'!$H$9:$H$12</c:f>
              <c:numCache>
                <c:formatCode>#\ ##0".-"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9700-4B6F-9BE0-C525584A47F7}"/>
            </c:ext>
          </c:extLst>
        </c:ser>
        <c:ser>
          <c:idx val="2"/>
          <c:order val="2"/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'tarif excédent solaire 2026'!$A$16:$A$19</c:f>
              <c:strCache>
                <c:ptCount val="4"/>
                <c:pt idx="0">
                  <c:v>Q1</c:v>
                </c:pt>
                <c:pt idx="1">
                  <c:v>Q2 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'tarif excédent solaire 2026'!$I$9:$I$12</c:f>
              <c:numCache>
                <c:formatCode>#\ ##0".-"</c:formatCode>
                <c:ptCount val="4"/>
                <c:pt idx="0">
                  <c:v>180.32803200000001</c:v>
                </c:pt>
                <c:pt idx="1">
                  <c:v>226.06079999999994</c:v>
                </c:pt>
                <c:pt idx="2">
                  <c:v>78.926399999999958</c:v>
                </c:pt>
                <c:pt idx="3">
                  <c:v>155.41533840000002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00-4B6F-9BE0-C525584A4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2877375"/>
        <c:axId val="852875935"/>
        <c:axId val="0"/>
      </c:bar3DChart>
      <c:catAx>
        <c:axId val="852877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2875935"/>
        <c:crosses val="autoZero"/>
        <c:auto val="1"/>
        <c:lblAlgn val="ctr"/>
        <c:lblOffset val="100"/>
        <c:noMultiLvlLbl val="0"/>
      </c:catAx>
      <c:valAx>
        <c:axId val="852875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&quot;.-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2877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1C7FAC"/>
    </a:soli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Énergie</a:t>
            </a:r>
            <a:r>
              <a:rPr lang="fr-FR" baseline="0"/>
              <a:t> produite</a:t>
            </a:r>
            <a:endParaRPr lang="fr-FR"/>
          </a:p>
        </c:rich>
      </c:tx>
      <c:layout>
        <c:manualLayout>
          <c:xMode val="edge"/>
          <c:yMode val="edge"/>
          <c:x val="0.3261275339056771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'tarif excédent solaire 2026'!$A$16:$A$19</c:f>
              <c:strCache>
                <c:ptCount val="4"/>
                <c:pt idx="0">
                  <c:v>Q1</c:v>
                </c:pt>
                <c:pt idx="1">
                  <c:v>Q2 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'tarif excédent solaire 2026'!$E$9:$E$12</c:f>
              <c:numCache>
                <c:formatCode>0" kWh"</c:formatCode>
                <c:ptCount val="4"/>
                <c:pt idx="0">
                  <c:v>3758.3999999999996</c:v>
                </c:pt>
                <c:pt idx="1">
                  <c:v>2152.96</c:v>
                </c:pt>
                <c:pt idx="2">
                  <c:v>4510.08</c:v>
                </c:pt>
                <c:pt idx="3">
                  <c:v>3718.96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0-4FAE-8904-68E225B5A40F}"/>
            </c:ext>
          </c:extLst>
        </c:ser>
        <c:ser>
          <c:idx val="1"/>
          <c:order val="1"/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'tarif excédent solaire 2026'!$A$16:$A$19</c:f>
              <c:strCache>
                <c:ptCount val="4"/>
                <c:pt idx="0">
                  <c:v>Q1</c:v>
                </c:pt>
                <c:pt idx="1">
                  <c:v>Q2 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'tarif excédent solaire 2026'!$F$9:$F$12</c:f>
              <c:numCache>
                <c:formatCode>0" kWh"</c:formatCode>
                <c:ptCount val="4"/>
                <c:pt idx="0">
                  <c:v>2505.6000000000004</c:v>
                </c:pt>
                <c:pt idx="1">
                  <c:v>3229.4399999999996</c:v>
                </c:pt>
                <c:pt idx="2">
                  <c:v>1127.5199999999995</c:v>
                </c:pt>
                <c:pt idx="3">
                  <c:v>1593.8400000000001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F0-4FAE-8904-68E225B5A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2877375"/>
        <c:axId val="852875935"/>
        <c:axId val="0"/>
      </c:bar3DChart>
      <c:catAx>
        <c:axId val="852877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2875935"/>
        <c:crosses val="autoZero"/>
        <c:auto val="1"/>
        <c:lblAlgn val="ctr"/>
        <c:lblOffset val="100"/>
        <c:noMultiLvlLbl val="0"/>
      </c:catAx>
      <c:valAx>
        <c:axId val="852875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 kW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2877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1C7FAC"/>
    </a:soli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523876</xdr:colOff>
      <xdr:row>2</xdr:row>
      <xdr:rowOff>133350</xdr:rowOff>
    </xdr:from>
    <xdr:to>
      <xdr:col>16</xdr:col>
      <xdr:colOff>447675</xdr:colOff>
      <xdr:row>13</xdr:row>
      <xdr:rowOff>66674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AEE397B-5A6A-73F0-CB62-187D79E504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438150</xdr:colOff>
      <xdr:row>2</xdr:row>
      <xdr:rowOff>133350</xdr:rowOff>
    </xdr:from>
    <xdr:to>
      <xdr:col>13</xdr:col>
      <xdr:colOff>342899</xdr:colOff>
      <xdr:row>13</xdr:row>
      <xdr:rowOff>66674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385215D-46C7-49DB-8592-AC0D39FE5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edlex.admin.ch/eli/cc/2017/766/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AED40-7D10-4C3E-BA26-B0560D2FC018}">
  <dimension ref="A1:S45"/>
  <sheetViews>
    <sheetView zoomScaleNormal="100" workbookViewId="0">
      <selection activeCell="D5" sqref="D5"/>
    </sheetView>
  </sheetViews>
  <sheetFormatPr baseColWidth="10" defaultRowHeight="15" x14ac:dyDescent="0.25"/>
  <cols>
    <col min="1" max="1" width="18.140625" style="1" customWidth="1"/>
    <col min="2" max="2" width="19.7109375" customWidth="1"/>
    <col min="3" max="3" width="17" customWidth="1"/>
    <col min="4" max="4" width="15.85546875" customWidth="1"/>
    <col min="5" max="5" width="16.28515625" bestFit="1" customWidth="1"/>
    <col min="6" max="6" width="15.85546875" customWidth="1"/>
    <col min="7" max="7" width="4.140625" customWidth="1"/>
    <col min="8" max="8" width="6.42578125" customWidth="1"/>
    <col min="9" max="9" width="10.7109375" customWidth="1"/>
    <col min="10" max="11" width="21.7109375" customWidth="1"/>
    <col min="12" max="12" width="4.5703125" customWidth="1"/>
    <col min="13" max="13" width="6.42578125" customWidth="1"/>
    <col min="14" max="14" width="10.7109375" customWidth="1"/>
    <col min="15" max="16" width="21.7109375" customWidth="1"/>
    <col min="17" max="17" width="11.7109375" customWidth="1"/>
    <col min="18" max="18" width="21.7109375" customWidth="1"/>
    <col min="20" max="21" width="21.7109375" customWidth="1"/>
  </cols>
  <sheetData>
    <row r="1" spans="1:16" s="22" customFormat="1" x14ac:dyDescent="0.25">
      <c r="A1" s="73" t="s">
        <v>24</v>
      </c>
      <c r="B1" s="73"/>
      <c r="C1" s="73"/>
      <c r="D1" s="73"/>
      <c r="E1" s="73"/>
      <c r="F1" s="73"/>
      <c r="G1" s="73"/>
      <c r="H1" s="73"/>
      <c r="I1" s="73"/>
    </row>
    <row r="2" spans="1:16" s="22" customFormat="1" x14ac:dyDescent="0.25">
      <c r="A2" s="73" t="s">
        <v>19</v>
      </c>
      <c r="B2" s="73"/>
      <c r="C2" s="73"/>
      <c r="D2" s="73"/>
      <c r="E2" s="73"/>
      <c r="F2" s="73"/>
      <c r="G2" s="73"/>
      <c r="H2" s="73"/>
      <c r="I2" s="73"/>
    </row>
    <row r="3" spans="1:16" s="22" customFormat="1" x14ac:dyDescent="0.25"/>
    <row r="4" spans="1:16" x14ac:dyDescent="0.25">
      <c r="C4" s="8" t="s">
        <v>3</v>
      </c>
      <c r="D4" s="23">
        <v>23.2</v>
      </c>
      <c r="E4" s="22"/>
      <c r="F4" s="22"/>
    </row>
    <row r="5" spans="1:16" x14ac:dyDescent="0.25">
      <c r="C5" s="8" t="s">
        <v>4</v>
      </c>
      <c r="D5" s="24" t="s">
        <v>5</v>
      </c>
      <c r="E5" s="22"/>
      <c r="F5" s="22"/>
    </row>
    <row r="6" spans="1:16" x14ac:dyDescent="0.25">
      <c r="A6"/>
      <c r="C6" s="8" t="s">
        <v>26</v>
      </c>
      <c r="D6" s="25">
        <v>0.26229999999999998</v>
      </c>
      <c r="E6" s="22"/>
      <c r="F6" s="22"/>
    </row>
    <row r="7" spans="1:16" x14ac:dyDescent="0.25">
      <c r="A7"/>
      <c r="E7" s="22"/>
      <c r="F7" s="22"/>
    </row>
    <row r="8" spans="1:16" x14ac:dyDescent="0.25">
      <c r="B8" s="21" t="s">
        <v>25</v>
      </c>
      <c r="C8" s="20" t="s">
        <v>15</v>
      </c>
      <c r="D8" s="21" t="s">
        <v>10</v>
      </c>
      <c r="E8" s="56" t="s">
        <v>22</v>
      </c>
      <c r="F8" s="56" t="s">
        <v>23</v>
      </c>
      <c r="G8" s="104" t="s">
        <v>12</v>
      </c>
      <c r="H8" s="105"/>
      <c r="I8" s="21" t="s">
        <v>11</v>
      </c>
    </row>
    <row r="9" spans="1:16" ht="16.5" x14ac:dyDescent="0.25">
      <c r="A9" s="3" t="s">
        <v>28</v>
      </c>
      <c r="B9" s="39">
        <v>0.6</v>
      </c>
      <c r="C9" s="26">
        <v>270</v>
      </c>
      <c r="D9" s="67">
        <f>$D$4*C9</f>
        <v>6264</v>
      </c>
      <c r="E9" s="68">
        <f>IF(D5="non",0,D9*B9)</f>
        <v>3758.3999999999996</v>
      </c>
      <c r="F9" s="69">
        <f>IF(AND(D4&lt;30,D5="non"),"",D9-E9)</f>
        <v>2505.6000000000004</v>
      </c>
      <c r="G9" s="106">
        <f>IF($D$5="non","",$D$6*E9)</f>
        <v>985.82831999999985</v>
      </c>
      <c r="H9" s="107"/>
      <c r="I9" s="58">
        <f>IF(AND(D4&lt;30,D5="non"),"",F9*(H23+B21))</f>
        <v>180.32803200000001</v>
      </c>
    </row>
    <row r="10" spans="1:16" ht="16.5" x14ac:dyDescent="0.25">
      <c r="A10" s="3" t="s">
        <v>29</v>
      </c>
      <c r="B10" s="40">
        <v>0.4</v>
      </c>
      <c r="C10" s="27">
        <v>232</v>
      </c>
      <c r="D10" s="67">
        <f>$D$4*C10</f>
        <v>5382.4</v>
      </c>
      <c r="E10" s="68">
        <f>IF(D5="non",0,D10*B10)</f>
        <v>2152.96</v>
      </c>
      <c r="F10" s="70">
        <f>IF(AND(D4&lt;30,D5="non"),"",D10-E10)</f>
        <v>3229.4399999999996</v>
      </c>
      <c r="G10" s="108">
        <f>IF($D$5="non","",$D$6*E10)</f>
        <v>564.721408</v>
      </c>
      <c r="H10" s="109"/>
      <c r="I10" s="58">
        <f>IF(AND(D4&lt;30,D5="non"),"",F10*(H30+B21))</f>
        <v>226.06079999999994</v>
      </c>
    </row>
    <row r="11" spans="1:16" ht="16.5" x14ac:dyDescent="0.25">
      <c r="A11" s="3" t="s">
        <v>30</v>
      </c>
      <c r="B11" s="40">
        <v>0.8</v>
      </c>
      <c r="C11" s="27">
        <v>243</v>
      </c>
      <c r="D11" s="67">
        <f>$D$4*C11</f>
        <v>5637.5999999999995</v>
      </c>
      <c r="E11" s="68">
        <f>IF(D5="non",0,D11*B11)</f>
        <v>4510.08</v>
      </c>
      <c r="F11" s="70">
        <f>IF(AND(D4&lt;30,D5="non"),"",D11-E11)</f>
        <v>1127.5199999999995</v>
      </c>
      <c r="G11" s="108">
        <f>IF($D$5="non","",$D$6*E11)</f>
        <v>1182.993984</v>
      </c>
      <c r="H11" s="109"/>
      <c r="I11" s="58">
        <f>IF(AND(D4&lt;30,D5="non"),"",F11*(M23+B21))</f>
        <v>78.926399999999958</v>
      </c>
    </row>
    <row r="12" spans="1:16" ht="16.5" x14ac:dyDescent="0.25">
      <c r="A12" s="3" t="s">
        <v>31</v>
      </c>
      <c r="B12" s="40">
        <v>0.7</v>
      </c>
      <c r="C12" s="27">
        <v>229</v>
      </c>
      <c r="D12" s="71">
        <f>$D$4*C12</f>
        <v>5312.8</v>
      </c>
      <c r="E12" s="84">
        <f>IF(D5="non",0,D12*B12)</f>
        <v>3718.96</v>
      </c>
      <c r="F12" s="72">
        <f>IF(AND(D4&lt;30,D5="non"),"",D12-E12)</f>
        <v>1593.8400000000001</v>
      </c>
      <c r="G12" s="96">
        <f>IF($D$5="non","",$D$6*E12)</f>
        <v>975.48320799999988</v>
      </c>
      <c r="H12" s="97"/>
      <c r="I12" s="59">
        <f>IF(AND(D4&lt;30,D5="non"),"",F12*(M30+B21))</f>
        <v>155.41533840000002</v>
      </c>
    </row>
    <row r="13" spans="1:16" x14ac:dyDescent="0.25">
      <c r="A13" s="6"/>
      <c r="B13" s="41">
        <f>E13/D13</f>
        <v>0.62577002053388087</v>
      </c>
      <c r="C13" s="57">
        <f>D13/D4</f>
        <v>974</v>
      </c>
      <c r="D13" s="42">
        <f>SUM(D9:D12)</f>
        <v>22596.799999999999</v>
      </c>
      <c r="E13" s="42">
        <f>SUM(E9:E12)</f>
        <v>14140.399999999998</v>
      </c>
      <c r="F13" s="42">
        <f>SUM(F9:F12)</f>
        <v>8456.4</v>
      </c>
      <c r="G13" s="94">
        <f>SUM(G9:H12)</f>
        <v>3709.0269199999993</v>
      </c>
      <c r="H13" s="95"/>
      <c r="I13" s="60">
        <f>SUM(I9:J12)</f>
        <v>640.73057039999992</v>
      </c>
      <c r="J13" s="9"/>
    </row>
    <row r="14" spans="1:16" x14ac:dyDescent="0.25">
      <c r="A14" s="6"/>
      <c r="D14" s="7"/>
      <c r="E14" s="22"/>
      <c r="F14" s="22"/>
      <c r="G14" s="98">
        <f>SUM(G13:I13)</f>
        <v>4349.7574903999994</v>
      </c>
      <c r="H14" s="99"/>
      <c r="I14" s="100"/>
    </row>
    <row r="15" spans="1:16" x14ac:dyDescent="0.25">
      <c r="A15" s="10"/>
      <c r="B15" s="21" t="s">
        <v>16</v>
      </c>
      <c r="C15" s="43">
        <v>2024</v>
      </c>
      <c r="D15" s="80">
        <v>2025</v>
      </c>
      <c r="E15" s="79"/>
      <c r="F15" s="22"/>
      <c r="G15" s="7"/>
    </row>
    <row r="16" spans="1:16" x14ac:dyDescent="0.25">
      <c r="A16" s="3" t="s">
        <v>6</v>
      </c>
      <c r="B16" s="28">
        <v>6.1969999999999997E-2</v>
      </c>
      <c r="C16" s="44">
        <v>6.1969999999999997E-2</v>
      </c>
      <c r="D16" s="85">
        <v>9.6710000000000004E-2</v>
      </c>
      <c r="E16" s="79"/>
      <c r="G16" s="3"/>
      <c r="H16" s="101" t="s">
        <v>21</v>
      </c>
      <c r="I16" s="102"/>
      <c r="J16" s="102"/>
      <c r="K16" s="102"/>
      <c r="L16" s="102"/>
      <c r="M16" s="102"/>
      <c r="N16" s="102"/>
      <c r="O16" s="102"/>
      <c r="P16" s="103"/>
    </row>
    <row r="17" spans="1:19" s="2" customFormat="1" x14ac:dyDescent="0.25">
      <c r="A17" s="3" t="s">
        <v>7</v>
      </c>
      <c r="B17" s="28">
        <v>3.5069999999999997E-2</v>
      </c>
      <c r="C17" s="44">
        <v>3.5069999999999997E-2</v>
      </c>
      <c r="D17" s="81"/>
      <c r="E17" s="83"/>
      <c r="F17"/>
      <c r="H17" s="35"/>
      <c r="I17" s="29" t="s">
        <v>2</v>
      </c>
      <c r="J17" s="29" t="s">
        <v>0</v>
      </c>
      <c r="K17" s="29" t="s">
        <v>1</v>
      </c>
      <c r="L17" s="46"/>
      <c r="M17" s="46"/>
      <c r="N17" s="29" t="s">
        <v>2</v>
      </c>
      <c r="O17" s="29" t="s">
        <v>0</v>
      </c>
      <c r="P17" s="29" t="s">
        <v>1</v>
      </c>
    </row>
    <row r="18" spans="1:19" x14ac:dyDescent="0.25">
      <c r="A18" s="3" t="s">
        <v>8</v>
      </c>
      <c r="B18" s="28">
        <v>3.3419999999999998E-2</v>
      </c>
      <c r="C18" s="44">
        <v>3.3419999999999998E-2</v>
      </c>
      <c r="D18" s="81"/>
      <c r="E18" s="79"/>
      <c r="G18" s="3"/>
      <c r="H18" s="88" t="s">
        <v>6</v>
      </c>
      <c r="I18" s="30">
        <v>0</v>
      </c>
      <c r="J18" s="31">
        <f>IF(C25&gt;B16,C25,B16)</f>
        <v>6.1969999999999997E-2</v>
      </c>
      <c r="K18" s="32"/>
      <c r="L18" s="47"/>
      <c r="M18" s="91" t="s">
        <v>8</v>
      </c>
      <c r="N18" s="30">
        <v>0</v>
      </c>
      <c r="O18" s="31">
        <f>IF(C25&gt;B18,C25,B18)</f>
        <v>0.06</v>
      </c>
      <c r="P18" s="32"/>
      <c r="S18" s="4"/>
    </row>
    <row r="19" spans="1:19" x14ac:dyDescent="0.25">
      <c r="A19" s="3" t="s">
        <v>9</v>
      </c>
      <c r="B19" s="28">
        <v>8.7510000000000004E-2</v>
      </c>
      <c r="C19" s="45">
        <v>8.7510000000000004E-2</v>
      </c>
      <c r="D19" s="82"/>
      <c r="E19" s="79"/>
      <c r="G19" s="3"/>
      <c r="H19" s="89"/>
      <c r="I19" s="33">
        <v>29.99</v>
      </c>
      <c r="J19" s="48">
        <f>IF(C26&gt;B16,C26,B16)</f>
        <v>6.1969999999999997E-2</v>
      </c>
      <c r="K19" s="34"/>
      <c r="L19" s="47"/>
      <c r="M19" s="92"/>
      <c r="N19" s="33">
        <v>29.99</v>
      </c>
      <c r="O19" s="48">
        <f>IF(C26&gt;B18,C26,B18)</f>
        <v>0.06</v>
      </c>
      <c r="P19" s="34"/>
      <c r="S19" s="5"/>
    </row>
    <row r="20" spans="1:19" x14ac:dyDescent="0.25">
      <c r="A20" s="6"/>
      <c r="E20" s="22"/>
      <c r="G20" s="3"/>
      <c r="H20" s="89"/>
      <c r="I20" s="33">
        <v>30</v>
      </c>
      <c r="J20" s="49">
        <f>IF(B16&gt;(1.8/D4),B16,(1.8/D4))</f>
        <v>7.7586206896551727E-2</v>
      </c>
      <c r="K20" s="34">
        <f>IF(D27&gt;B16,D27,B16)</f>
        <v>6.2E-2</v>
      </c>
      <c r="L20" s="47"/>
      <c r="M20" s="92"/>
      <c r="N20" s="33">
        <v>30</v>
      </c>
      <c r="O20" s="49">
        <f>IF(B18&gt;(1.8/D4),B18,(1.8/D4))</f>
        <v>7.7586206896551727E-2</v>
      </c>
      <c r="P20" s="34">
        <f>IF(D27&gt;B18,D27,#REF!)</f>
        <v>6.2E-2</v>
      </c>
      <c r="S20" s="5"/>
    </row>
    <row r="21" spans="1:19" x14ac:dyDescent="0.25">
      <c r="A21" s="6" t="s">
        <v>32</v>
      </c>
      <c r="B21" s="28">
        <v>0.01</v>
      </c>
      <c r="E21" s="22"/>
      <c r="G21" s="3"/>
      <c r="H21" s="89"/>
      <c r="I21" s="33">
        <v>149.99</v>
      </c>
      <c r="J21" s="49">
        <f>IF(B16&gt;(1.8/D4),B16,(1.8/D4))</f>
        <v>7.7586206896551727E-2</v>
      </c>
      <c r="K21" s="34">
        <f>IF(D28&gt;B16,D28,B16)</f>
        <v>6.2E-2</v>
      </c>
      <c r="L21" s="47"/>
      <c r="M21" s="92"/>
      <c r="N21" s="33">
        <v>149.99</v>
      </c>
      <c r="O21" s="49">
        <f>IF(B18&gt;(1.8/D4),B18,(1.8/D4))</f>
        <v>7.7586206896551727E-2</v>
      </c>
      <c r="P21" s="34">
        <f>IF(D28&gt;B18,D28,#REF!)</f>
        <v>6.2E-2</v>
      </c>
      <c r="S21" s="5"/>
    </row>
    <row r="22" spans="1:19" x14ac:dyDescent="0.25">
      <c r="A22" s="6"/>
      <c r="E22" s="22"/>
      <c r="F22" s="22"/>
      <c r="G22" s="3"/>
      <c r="H22" s="90"/>
      <c r="I22" s="36">
        <v>150</v>
      </c>
      <c r="J22" s="37">
        <f>B16</f>
        <v>6.1969999999999997E-2</v>
      </c>
      <c r="K22" s="38">
        <f>B16</f>
        <v>6.1969999999999997E-2</v>
      </c>
      <c r="L22" s="47"/>
      <c r="M22" s="93"/>
      <c r="N22" s="36">
        <v>150</v>
      </c>
      <c r="O22" s="37">
        <f>B18</f>
        <v>3.3419999999999998E-2</v>
      </c>
      <c r="P22" s="38">
        <f>B18</f>
        <v>3.3419999999999998E-2</v>
      </c>
      <c r="S22" s="5"/>
    </row>
    <row r="23" spans="1:19" x14ac:dyDescent="0.25">
      <c r="A23" s="6"/>
      <c r="B23" s="11"/>
      <c r="C23" s="86" t="s">
        <v>20</v>
      </c>
      <c r="D23" s="86"/>
      <c r="E23" s="22"/>
      <c r="H23" s="50">
        <f>IF(D5="oui",J23,K23)</f>
        <v>6.1969999999999997E-2</v>
      </c>
      <c r="I23" s="51" t="s">
        <v>13</v>
      </c>
      <c r="J23" s="48">
        <f>VLOOKUP($D$4,I18:J22,2)</f>
        <v>6.1969999999999997E-2</v>
      </c>
      <c r="K23" s="48" t="str">
        <f>IF(ISNA(VLOOKUP($D$4,I20:K22,3)),"",VLOOKUP($D$4,I20:K22,3))</f>
        <v/>
      </c>
      <c r="L23" s="47"/>
      <c r="M23" s="48">
        <f>IF(D5="oui",O23,P23)</f>
        <v>0.06</v>
      </c>
      <c r="N23" s="51" t="s">
        <v>13</v>
      </c>
      <c r="O23" s="48">
        <f>VLOOKUP($D$4,N18:O22,2)</f>
        <v>0.06</v>
      </c>
      <c r="P23" s="34" t="str">
        <f>IF(ISNA(VLOOKUP($D$4,N20:P22,3)),"",VLOOKUP($D$4,N20:P22,3))</f>
        <v/>
      </c>
    </row>
    <row r="24" spans="1:19" s="10" customFormat="1" x14ac:dyDescent="0.25">
      <c r="B24" s="61" t="s">
        <v>2</v>
      </c>
      <c r="C24" s="61" t="s">
        <v>17</v>
      </c>
      <c r="D24" s="61" t="s">
        <v>18</v>
      </c>
      <c r="E24" s="22"/>
      <c r="H24" s="50"/>
      <c r="I24" s="52"/>
      <c r="J24" s="52"/>
      <c r="K24" s="52"/>
      <c r="L24" s="52"/>
      <c r="M24" s="48"/>
      <c r="N24" s="51"/>
      <c r="O24" s="48"/>
      <c r="P24" s="34"/>
    </row>
    <row r="25" spans="1:19" s="11" customFormat="1" x14ac:dyDescent="0.25">
      <c r="B25" s="62">
        <v>0</v>
      </c>
      <c r="C25" s="63">
        <v>0.06</v>
      </c>
      <c r="D25" s="64"/>
      <c r="E25" s="22"/>
      <c r="G25" s="10"/>
      <c r="H25" s="91" t="s">
        <v>14</v>
      </c>
      <c r="I25" s="30">
        <v>0</v>
      </c>
      <c r="J25" s="31">
        <f>IF(C25&gt;B17,C25,B17)</f>
        <v>0.06</v>
      </c>
      <c r="K25" s="32"/>
      <c r="L25" s="48"/>
      <c r="M25" s="88" t="s">
        <v>9</v>
      </c>
      <c r="N25" s="30">
        <v>0</v>
      </c>
      <c r="O25" s="31">
        <f>IF(C25&gt;B19,C25,B19)</f>
        <v>8.7510000000000004E-2</v>
      </c>
      <c r="P25" s="32"/>
      <c r="S25" s="14"/>
    </row>
    <row r="26" spans="1:19" s="11" customFormat="1" x14ac:dyDescent="0.25">
      <c r="B26" s="62">
        <v>29.99</v>
      </c>
      <c r="C26" s="63">
        <v>0.06</v>
      </c>
      <c r="D26" s="64"/>
      <c r="E26" s="22"/>
      <c r="G26" s="10"/>
      <c r="H26" s="92"/>
      <c r="I26" s="33">
        <v>29.99</v>
      </c>
      <c r="J26" s="48">
        <f>IF(C26&gt;B17,C26,B17)</f>
        <v>0.06</v>
      </c>
      <c r="K26" s="34"/>
      <c r="L26" s="48"/>
      <c r="M26" s="89"/>
      <c r="N26" s="33">
        <v>29.99</v>
      </c>
      <c r="O26" s="48">
        <f>IF(C26&gt;B19,C26,B19)</f>
        <v>8.7510000000000004E-2</v>
      </c>
      <c r="P26" s="34"/>
      <c r="S26" s="16"/>
    </row>
    <row r="27" spans="1:19" s="11" customFormat="1" x14ac:dyDescent="0.25">
      <c r="B27" s="62">
        <v>30</v>
      </c>
      <c r="C27" s="65">
        <f>1.8/B27</f>
        <v>6.0000000000000005E-2</v>
      </c>
      <c r="D27" s="63">
        <v>6.2E-2</v>
      </c>
      <c r="E27" s="22"/>
      <c r="G27" s="10"/>
      <c r="H27" s="92"/>
      <c r="I27" s="33">
        <v>30</v>
      </c>
      <c r="J27" s="49">
        <f>IF(B17&gt;(1.8/D4),B17,(1.8/D4))</f>
        <v>7.7586206896551727E-2</v>
      </c>
      <c r="K27" s="34">
        <f>IF(D27&gt;B17,D27,B17)</f>
        <v>6.2E-2</v>
      </c>
      <c r="L27" s="48"/>
      <c r="M27" s="89"/>
      <c r="N27" s="33">
        <v>30</v>
      </c>
      <c r="O27" s="49">
        <f>IF(B19&gt;(1.8/D4),B19,(1.8/D4))</f>
        <v>8.7510000000000004E-2</v>
      </c>
      <c r="P27" s="34">
        <f>IF(D27&gt;B19,D27,B19)</f>
        <v>8.7510000000000004E-2</v>
      </c>
      <c r="S27" s="16"/>
    </row>
    <row r="28" spans="1:19" s="11" customFormat="1" x14ac:dyDescent="0.25">
      <c r="B28" s="62">
        <f>IF(AND(D4&gt;B27,D4&lt;B29),D4,149.99)</f>
        <v>149.99</v>
      </c>
      <c r="C28" s="66">
        <f>1.8/B28</f>
        <v>1.2000800053336889E-2</v>
      </c>
      <c r="D28" s="63">
        <v>6.2E-2</v>
      </c>
      <c r="E28" s="22"/>
      <c r="G28" s="10"/>
      <c r="H28" s="92"/>
      <c r="I28" s="33">
        <v>149.99</v>
      </c>
      <c r="J28" s="49">
        <f>IF(B17&gt;(1.8/D4),B17,(1.8/D4))</f>
        <v>7.7586206896551727E-2</v>
      </c>
      <c r="K28" s="34">
        <f>IF(D28&gt;B18,D28,B18)</f>
        <v>6.2E-2</v>
      </c>
      <c r="L28" s="48"/>
      <c r="M28" s="89"/>
      <c r="N28" s="33">
        <v>149.99</v>
      </c>
      <c r="O28" s="49">
        <f>IF(B19&gt;(1.8/D4),B19,(1.8/D4))</f>
        <v>8.7510000000000004E-2</v>
      </c>
      <c r="P28" s="34">
        <f>IF(D28&gt;B19,D28,B19)</f>
        <v>8.7510000000000004E-2</v>
      </c>
      <c r="S28" s="16"/>
    </row>
    <row r="29" spans="1:19" s="11" customFormat="1" x14ac:dyDescent="0.25">
      <c r="A29" s="13"/>
      <c r="B29" s="62">
        <v>150</v>
      </c>
      <c r="C29" s="63">
        <v>0</v>
      </c>
      <c r="D29" s="63">
        <v>0</v>
      </c>
      <c r="E29" s="22"/>
      <c r="F29" s="22"/>
      <c r="G29" s="10"/>
      <c r="H29" s="93"/>
      <c r="I29" s="36">
        <v>150</v>
      </c>
      <c r="J29" s="37">
        <f>B17</f>
        <v>3.5069999999999997E-2</v>
      </c>
      <c r="K29" s="38">
        <f>B17</f>
        <v>3.5069999999999997E-2</v>
      </c>
      <c r="L29" s="48"/>
      <c r="M29" s="90"/>
      <c r="N29" s="36">
        <v>150</v>
      </c>
      <c r="O29" s="37">
        <f>B19</f>
        <v>8.7510000000000004E-2</v>
      </c>
      <c r="P29" s="38">
        <f>B19</f>
        <v>8.7510000000000004E-2</v>
      </c>
      <c r="S29" s="16"/>
    </row>
    <row r="30" spans="1:19" s="10" customFormat="1" x14ac:dyDescent="0.25">
      <c r="E30" s="22"/>
      <c r="F30" s="22"/>
      <c r="H30" s="53">
        <f>IF(D5="oui",J30,K30)</f>
        <v>0.06</v>
      </c>
      <c r="I30" s="54" t="s">
        <v>13</v>
      </c>
      <c r="J30" s="37">
        <f>VLOOKUP($D$4,I25:J29,2)</f>
        <v>0.06</v>
      </c>
      <c r="K30" s="37" t="str">
        <f>IF(ISNA(VLOOKUP($D$4,I27:K29,3)),"",VLOOKUP($D$4,I27:K29,3))</f>
        <v/>
      </c>
      <c r="L30" s="55"/>
      <c r="M30" s="37">
        <f>IF(D5="oui",O30,P30)</f>
        <v>8.7510000000000004E-2</v>
      </c>
      <c r="N30" s="54" t="s">
        <v>13</v>
      </c>
      <c r="O30" s="37">
        <f>VLOOKUP($D$4,N25:O29,2)</f>
        <v>8.7510000000000004E-2</v>
      </c>
      <c r="P30" s="38" t="str">
        <f>IF(ISNA(VLOOKUP($D$4,N27:P29,3)),"",VLOOKUP($D$4,N27:P29,3))</f>
        <v/>
      </c>
    </row>
    <row r="31" spans="1:19" s="10" customFormat="1" x14ac:dyDescent="0.25">
      <c r="E31" s="22"/>
      <c r="F31" s="22"/>
      <c r="H31" s="11"/>
      <c r="I31" s="19"/>
      <c r="J31" s="11"/>
      <c r="K31" s="11"/>
      <c r="N31" s="12"/>
      <c r="O31" s="12"/>
    </row>
    <row r="32" spans="1:19" s="11" customFormat="1" x14ac:dyDescent="0.25">
      <c r="A32" s="74" t="s">
        <v>27</v>
      </c>
      <c r="B32" s="75"/>
      <c r="C32" s="76"/>
      <c r="D32" s="77"/>
      <c r="E32" s="77"/>
      <c r="F32" s="77"/>
      <c r="G32" s="77"/>
      <c r="H32" s="78"/>
      <c r="I32" s="78"/>
      <c r="J32" s="78"/>
      <c r="K32" s="78"/>
      <c r="M32" s="14"/>
      <c r="P32" s="14"/>
      <c r="S32" s="14"/>
    </row>
    <row r="33" spans="1:19" s="11" customFormat="1" ht="13.5" x14ac:dyDescent="0.25">
      <c r="A33" s="13"/>
      <c r="B33" s="16"/>
      <c r="C33" s="15"/>
      <c r="D33" s="10"/>
      <c r="E33" s="10"/>
      <c r="F33" s="10"/>
      <c r="G33" s="10"/>
      <c r="M33" s="16"/>
      <c r="P33" s="16"/>
      <c r="S33" s="16"/>
    </row>
    <row r="34" spans="1:19" s="11" customFormat="1" ht="13.5" x14ac:dyDescent="0.25">
      <c r="E34" s="15"/>
      <c r="F34" s="15"/>
      <c r="G34" s="15"/>
      <c r="M34" s="16"/>
      <c r="P34" s="16"/>
      <c r="S34" s="16"/>
    </row>
    <row r="35" spans="1:19" s="11" customFormat="1" ht="13.5" x14ac:dyDescent="0.25">
      <c r="E35" s="15"/>
      <c r="F35" s="15"/>
      <c r="G35" s="15"/>
      <c r="M35" s="16"/>
      <c r="P35" s="16"/>
      <c r="S35" s="16"/>
    </row>
    <row r="36" spans="1:19" s="11" customFormat="1" ht="13.5" x14ac:dyDescent="0.25">
      <c r="E36" s="15"/>
      <c r="F36" s="15"/>
      <c r="G36" s="15"/>
      <c r="M36" s="16"/>
      <c r="P36" s="16"/>
      <c r="S36" s="16"/>
    </row>
    <row r="37" spans="1:19" s="10" customFormat="1" ht="13.5" x14ac:dyDescent="0.25">
      <c r="N37" s="87"/>
      <c r="O37" s="87"/>
    </row>
    <row r="38" spans="1:19" s="10" customFormat="1" ht="13.5" x14ac:dyDescent="0.25">
      <c r="N38" s="12"/>
      <c r="O38" s="12"/>
    </row>
    <row r="39" spans="1:19" s="11" customFormat="1" ht="13.5" x14ac:dyDescent="0.25">
      <c r="A39" s="13"/>
      <c r="B39" s="14"/>
      <c r="C39" s="15"/>
      <c r="D39" s="10"/>
      <c r="E39" s="10"/>
      <c r="F39" s="10"/>
      <c r="G39" s="10"/>
      <c r="M39" s="14"/>
      <c r="P39" s="14"/>
      <c r="S39" s="14"/>
    </row>
    <row r="40" spans="1:19" s="11" customFormat="1" ht="13.5" x14ac:dyDescent="0.25">
      <c r="A40" s="13"/>
      <c r="B40" s="16"/>
      <c r="C40" s="15"/>
      <c r="D40" s="10"/>
      <c r="E40" s="10"/>
      <c r="F40" s="10"/>
      <c r="G40" s="10"/>
      <c r="M40" s="16"/>
      <c r="P40" s="16"/>
      <c r="S40" s="16"/>
    </row>
    <row r="41" spans="1:19" s="11" customFormat="1" ht="13.5" x14ac:dyDescent="0.25">
      <c r="A41" s="13"/>
      <c r="B41" s="16"/>
      <c r="C41" s="17"/>
      <c r="D41" s="15"/>
      <c r="E41" s="15"/>
      <c r="F41" s="15"/>
      <c r="G41" s="15"/>
      <c r="M41" s="16"/>
      <c r="P41" s="16"/>
      <c r="S41" s="16"/>
    </row>
    <row r="42" spans="1:19" s="11" customFormat="1" ht="13.5" x14ac:dyDescent="0.25">
      <c r="A42" s="13"/>
      <c r="B42" s="16"/>
      <c r="C42" s="18"/>
      <c r="D42" s="15"/>
      <c r="E42" s="15"/>
      <c r="F42" s="15"/>
      <c r="G42" s="15"/>
      <c r="M42" s="16"/>
      <c r="P42" s="16"/>
      <c r="S42" s="16"/>
    </row>
    <row r="43" spans="1:19" s="11" customFormat="1" ht="13.5" x14ac:dyDescent="0.25">
      <c r="A43" s="13"/>
      <c r="B43" s="16"/>
      <c r="C43" s="15"/>
      <c r="D43" s="15"/>
      <c r="E43" s="15"/>
      <c r="F43" s="15"/>
      <c r="G43" s="15"/>
      <c r="M43" s="16"/>
      <c r="P43" s="16"/>
      <c r="S43" s="16"/>
    </row>
    <row r="44" spans="1:19" s="11" customFormat="1" ht="13.5" x14ac:dyDescent="0.25">
      <c r="A44" s="13"/>
    </row>
    <row r="45" spans="1:19" x14ac:dyDescent="0.25">
      <c r="I45" s="8"/>
    </row>
  </sheetData>
  <sheetProtection sheet="1" selectLockedCells="1"/>
  <mergeCells count="14">
    <mergeCell ref="G13:H13"/>
    <mergeCell ref="G12:H12"/>
    <mergeCell ref="G14:I14"/>
    <mergeCell ref="H16:P16"/>
    <mergeCell ref="G8:H8"/>
    <mergeCell ref="G9:H9"/>
    <mergeCell ref="G10:H10"/>
    <mergeCell ref="G11:H11"/>
    <mergeCell ref="C23:D23"/>
    <mergeCell ref="N37:O37"/>
    <mergeCell ref="H18:H22"/>
    <mergeCell ref="H25:H29"/>
    <mergeCell ref="M18:M22"/>
    <mergeCell ref="M25:M29"/>
  </mergeCells>
  <phoneticPr fontId="3" type="noConversion"/>
  <dataValidations count="1">
    <dataValidation type="list" allowBlank="1" showInputMessage="1" showErrorMessage="1" sqref="D5" xr:uid="{8F414F3A-132C-4778-B2C3-883E442615FC}">
      <formula1>"oui,non"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C95C8-E7F9-45E4-9BE9-AB6861B82E4E}">
  <dimension ref="B1:G22"/>
  <sheetViews>
    <sheetView tabSelected="1" workbookViewId="0">
      <selection activeCell="D16" sqref="D16:F16"/>
    </sheetView>
  </sheetViews>
  <sheetFormatPr baseColWidth="10" defaultRowHeight="15" x14ac:dyDescent="0.25"/>
  <cols>
    <col min="1" max="1" width="3.42578125" customWidth="1"/>
    <col min="2" max="2" width="3" customWidth="1"/>
    <col min="3" max="3" width="34.28515625" customWidth="1"/>
    <col min="4" max="4" width="10.7109375" customWidth="1"/>
    <col min="5" max="5" width="1.28515625" customWidth="1"/>
    <col min="6" max="6" width="10.7109375" customWidth="1"/>
    <col min="7" max="7" width="3.140625" customWidth="1"/>
  </cols>
  <sheetData>
    <row r="1" spans="2:7" ht="15.75" x14ac:dyDescent="0.25">
      <c r="B1" s="110" t="s">
        <v>33</v>
      </c>
      <c r="C1" s="111"/>
      <c r="D1" s="111"/>
      <c r="E1" s="111"/>
      <c r="F1" s="111"/>
      <c r="G1" s="112"/>
    </row>
    <row r="2" spans="2:7" x14ac:dyDescent="0.25">
      <c r="B2" s="113" t="s">
        <v>34</v>
      </c>
      <c r="C2" s="114"/>
      <c r="D2" s="114"/>
      <c r="E2" s="114"/>
      <c r="F2" s="114"/>
      <c r="G2" s="115"/>
    </row>
    <row r="3" spans="2:7" x14ac:dyDescent="0.25">
      <c r="B3" s="116"/>
      <c r="C3" s="117" t="s">
        <v>35</v>
      </c>
      <c r="G3" s="118"/>
    </row>
    <row r="4" spans="2:7" x14ac:dyDescent="0.25">
      <c r="B4" s="116"/>
      <c r="D4" s="119" t="s">
        <v>36</v>
      </c>
      <c r="E4" s="119"/>
      <c r="F4" s="119"/>
      <c r="G4" s="118"/>
    </row>
    <row r="5" spans="2:7" x14ac:dyDescent="0.25">
      <c r="B5" s="116"/>
      <c r="C5" s="120" t="s">
        <v>37</v>
      </c>
      <c r="D5" s="21" t="s">
        <v>38</v>
      </c>
      <c r="E5" s="3"/>
      <c r="F5" s="21" t="s">
        <v>39</v>
      </c>
      <c r="G5" s="118"/>
    </row>
    <row r="6" spans="2:7" x14ac:dyDescent="0.25">
      <c r="B6" s="116"/>
      <c r="C6" s="121" t="s">
        <v>40</v>
      </c>
      <c r="D6" s="122">
        <v>400</v>
      </c>
      <c r="E6" s="123"/>
      <c r="F6" s="122">
        <v>360</v>
      </c>
      <c r="G6" s="118"/>
    </row>
    <row r="7" spans="2:7" x14ac:dyDescent="0.25">
      <c r="B7" s="116"/>
      <c r="C7" s="124" t="s">
        <v>41</v>
      </c>
      <c r="D7" s="122">
        <v>330</v>
      </c>
      <c r="E7" s="123"/>
      <c r="F7" s="122">
        <v>300</v>
      </c>
      <c r="G7" s="118"/>
    </row>
    <row r="8" spans="2:7" x14ac:dyDescent="0.25">
      <c r="B8" s="116"/>
      <c r="C8" s="124" t="s">
        <v>42</v>
      </c>
      <c r="D8" s="122">
        <v>250</v>
      </c>
      <c r="E8" s="123"/>
      <c r="F8" s="122">
        <v>250</v>
      </c>
      <c r="G8" s="118"/>
    </row>
    <row r="9" spans="2:7" x14ac:dyDescent="0.25">
      <c r="B9" s="116"/>
      <c r="C9" s="125" t="s">
        <v>43</v>
      </c>
      <c r="D9" s="122">
        <v>400</v>
      </c>
      <c r="E9" s="123"/>
      <c r="F9" s="122">
        <v>200</v>
      </c>
      <c r="G9" s="118"/>
    </row>
    <row r="10" spans="2:7" hidden="1" x14ac:dyDescent="0.25">
      <c r="B10" s="116"/>
      <c r="D10">
        <f>IF(AND(D16&gt;1.99,D16&lt;30),D6*D16,"")</f>
        <v>4000</v>
      </c>
      <c r="F10">
        <f>IF(AND(D16&gt;1.99,D16&lt;30),F6*D16,"")</f>
        <v>3600</v>
      </c>
      <c r="G10" s="118"/>
    </row>
    <row r="11" spans="2:7" hidden="1" x14ac:dyDescent="0.25">
      <c r="B11" s="116"/>
      <c r="D11" t="str">
        <f>IF(AND(D16&gt;29.99,D16&lt;100.01),D16*D7,"")</f>
        <v/>
      </c>
      <c r="F11" t="str">
        <f>IF(AND(D16&gt;29.99,D16&lt;100.01),D16*F7,"")</f>
        <v/>
      </c>
      <c r="G11" s="118"/>
    </row>
    <row r="12" spans="2:7" hidden="1" x14ac:dyDescent="0.25">
      <c r="B12" s="116"/>
      <c r="D12" t="str">
        <f>IF(D16&gt;100,D16*D8,"")</f>
        <v/>
      </c>
      <c r="F12" t="str">
        <f>IF(D16&gt;100,D16*F8,"")</f>
        <v/>
      </c>
      <c r="G12" s="118"/>
    </row>
    <row r="13" spans="2:7" x14ac:dyDescent="0.25">
      <c r="B13" s="126"/>
      <c r="C13" s="127"/>
      <c r="D13" s="127"/>
      <c r="E13" s="127"/>
      <c r="F13" s="127"/>
      <c r="G13" s="128"/>
    </row>
    <row r="15" spans="2:7" s="132" customFormat="1" ht="27.75" customHeight="1" x14ac:dyDescent="0.25">
      <c r="B15" s="129"/>
      <c r="C15" s="130" t="s">
        <v>44</v>
      </c>
      <c r="D15" s="130"/>
      <c r="E15" s="130"/>
      <c r="F15" s="130"/>
      <c r="G15" s="131"/>
    </row>
    <row r="16" spans="2:7" x14ac:dyDescent="0.25">
      <c r="B16" s="133"/>
      <c r="C16" s="134" t="s">
        <v>45</v>
      </c>
      <c r="D16" s="135">
        <v>10</v>
      </c>
      <c r="E16" s="136"/>
      <c r="F16" s="137"/>
      <c r="G16" s="138"/>
    </row>
    <row r="17" spans="2:7" ht="8.25" customHeight="1" x14ac:dyDescent="0.25">
      <c r="B17" s="133"/>
      <c r="C17" s="134"/>
      <c r="D17" s="134"/>
      <c r="E17" s="134"/>
      <c r="F17" s="134"/>
      <c r="G17" s="138"/>
    </row>
    <row r="18" spans="2:7" x14ac:dyDescent="0.25">
      <c r="B18" s="133"/>
      <c r="C18" s="134"/>
      <c r="D18" s="139" t="s">
        <v>46</v>
      </c>
      <c r="E18" s="139"/>
      <c r="F18" s="139"/>
      <c r="G18" s="138"/>
    </row>
    <row r="19" spans="2:7" x14ac:dyDescent="0.25">
      <c r="B19" s="133"/>
      <c r="C19" s="140" t="s">
        <v>47</v>
      </c>
      <c r="D19" s="141">
        <f>SUM(D10:D12)</f>
        <v>4000</v>
      </c>
      <c r="E19" s="142"/>
      <c r="F19" s="141">
        <f>SUM(F10:F12)</f>
        <v>3600</v>
      </c>
      <c r="G19" s="138"/>
    </row>
    <row r="20" spans="2:7" x14ac:dyDescent="0.25">
      <c r="B20" s="133"/>
      <c r="C20" s="143" t="s">
        <v>48</v>
      </c>
      <c r="D20" s="144">
        <f>IF(D16&gt;1.999,D9*D16,0)</f>
        <v>4000</v>
      </c>
      <c r="E20" s="142"/>
      <c r="F20" s="144">
        <f>IF(D16&gt;1.999,F9*D16,0)</f>
        <v>2000</v>
      </c>
      <c r="G20" s="138"/>
    </row>
    <row r="21" spans="2:7" x14ac:dyDescent="0.25">
      <c r="B21" s="133"/>
      <c r="C21" s="145" t="s">
        <v>49</v>
      </c>
      <c r="D21" s="146">
        <f>D19+D20</f>
        <v>8000</v>
      </c>
      <c r="E21" s="147"/>
      <c r="F21" s="146">
        <f>F19+F20</f>
        <v>5600</v>
      </c>
      <c r="G21" s="138"/>
    </row>
    <row r="22" spans="2:7" x14ac:dyDescent="0.25">
      <c r="B22" s="148"/>
      <c r="C22" s="149"/>
      <c r="D22" s="149"/>
      <c r="E22" s="149"/>
      <c r="F22" s="149"/>
      <c r="G22" s="150"/>
    </row>
  </sheetData>
  <sheetProtection sheet="1" objects="1" scenarios="1" selectLockedCells="1"/>
  <mergeCells count="6">
    <mergeCell ref="B1:G1"/>
    <mergeCell ref="B2:G2"/>
    <mergeCell ref="D4:F4"/>
    <mergeCell ref="C15:F15"/>
    <mergeCell ref="D16:F16"/>
    <mergeCell ref="D18:F18"/>
  </mergeCells>
  <hyperlinks>
    <hyperlink ref="C3" r:id="rId1" location="annex_2_1/lvl_u1/lvl_2" xr:uid="{1F25BDEC-D671-47FC-89E8-6AE3CC3FC71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tarif excédent solaire 2026</vt:lpstr>
      <vt:lpstr>Rétribution Unique Pronovo</vt:lpstr>
    </vt:vector>
  </TitlesOfParts>
  <Company>Solar Systeme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Tarifs PV 2026 et RU</dc:title>
  <dc:subject>outil de simulation de rentabilité</dc:subject>
  <dc:creator>Stéphane Belliot</dc:creator>
  <cp:keywords>photovoltaïque; prix de marché; rétribution unique</cp:keywords>
  <dc:description>libre de droit</dc:description>
  <cp:lastModifiedBy>Stéphane Belliot</cp:lastModifiedBy>
  <dcterms:created xsi:type="dcterms:W3CDTF">2025-03-15T11:18:54Z</dcterms:created>
  <dcterms:modified xsi:type="dcterms:W3CDTF">2025-04-07T13:38:54Z</dcterms:modified>
  <cp:category>outil PV</cp:category>
</cp:coreProperties>
</file>